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_NÃO USAR_SANTOS\"/>
    </mc:Choice>
  </mc:AlternateContent>
  <xr:revisionPtr revIDLastSave="0" documentId="14_{7220FEB5-CE79-4402-85B7-28A04D8BFE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25" i="1"/>
  <c r="F24" i="1"/>
  <c r="F23" i="1"/>
  <c r="F22" i="1"/>
  <c r="F21" i="1"/>
  <c r="F17" i="1"/>
  <c r="F15" i="1"/>
  <c r="F54" i="1"/>
  <c r="F26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0" i="1"/>
  <c r="F29" i="1"/>
  <c r="F28" i="1"/>
  <c r="F20" i="1"/>
  <c r="F19" i="1"/>
  <c r="F18" i="1"/>
  <c r="F16" i="1"/>
  <c r="F14" i="1"/>
  <c r="F13" i="1"/>
  <c r="F12" i="1"/>
  <c r="F11" i="1"/>
  <c r="F10" i="1"/>
  <c r="E56" i="1" l="1"/>
  <c r="G54" i="1"/>
  <c r="E51" i="1"/>
  <c r="G50" i="1"/>
  <c r="I50" i="1" s="1"/>
  <c r="G49" i="1"/>
  <c r="I49" i="1" s="1"/>
  <c r="G48" i="1"/>
  <c r="I48" i="1" s="1"/>
  <c r="G47" i="1"/>
  <c r="I47" i="1" s="1"/>
  <c r="G46" i="1"/>
  <c r="I46" i="1" s="1"/>
  <c r="G45" i="1"/>
  <c r="I45" i="1" s="1"/>
  <c r="G44" i="1"/>
  <c r="I44" i="1" s="1"/>
  <c r="G43" i="1"/>
  <c r="I43" i="1" s="1"/>
  <c r="G42" i="1"/>
  <c r="I42" i="1" s="1"/>
  <c r="G41" i="1"/>
  <c r="I41" i="1" s="1"/>
  <c r="G40" i="1"/>
  <c r="I40" i="1" s="1"/>
  <c r="G39" i="1"/>
  <c r="I39" i="1" s="1"/>
  <c r="G38" i="1"/>
  <c r="I38" i="1" s="1"/>
  <c r="G37" i="1"/>
  <c r="I37" i="1" s="1"/>
  <c r="G36" i="1"/>
  <c r="I36" i="1" s="1"/>
  <c r="G35" i="1"/>
  <c r="I35" i="1" s="1"/>
  <c r="G34" i="1"/>
  <c r="I34" i="1" s="1"/>
  <c r="G33" i="1"/>
  <c r="E31" i="1"/>
  <c r="G30" i="1"/>
  <c r="I30" i="1" s="1"/>
  <c r="G29" i="1"/>
  <c r="I29" i="1" s="1"/>
  <c r="G28" i="1"/>
  <c r="I28" i="1" s="1"/>
  <c r="G27" i="1"/>
  <c r="I27" i="1" s="1"/>
  <c r="G26" i="1"/>
  <c r="I26" i="1" s="1"/>
  <c r="G25" i="1"/>
  <c r="I25" i="1" s="1"/>
  <c r="G24" i="1"/>
  <c r="I24" i="1" s="1"/>
  <c r="G23" i="1"/>
  <c r="I23" i="1" s="1"/>
  <c r="G22" i="1"/>
  <c r="I22" i="1" s="1"/>
  <c r="G21" i="1"/>
  <c r="I21" i="1" s="1"/>
  <c r="G20" i="1"/>
  <c r="I20" i="1" s="1"/>
  <c r="G19" i="1"/>
  <c r="I19" i="1" s="1"/>
  <c r="G18" i="1"/>
  <c r="I18" i="1" s="1"/>
  <c r="G17" i="1"/>
  <c r="I17" i="1" s="1"/>
  <c r="G16" i="1"/>
  <c r="I16" i="1" s="1"/>
  <c r="G15" i="1"/>
  <c r="I15" i="1" s="1"/>
  <c r="G14" i="1"/>
  <c r="I14" i="1" s="1"/>
  <c r="G13" i="1"/>
  <c r="I13" i="1" s="1"/>
  <c r="G12" i="1"/>
  <c r="I12" i="1" s="1"/>
  <c r="G11" i="1"/>
  <c r="I11" i="1" s="1"/>
  <c r="G10" i="1"/>
  <c r="E58" i="1" l="1"/>
  <c r="G31" i="1"/>
  <c r="I10" i="1"/>
  <c r="I31" i="1" s="1"/>
  <c r="I33" i="1"/>
  <c r="I51" i="1" s="1"/>
  <c r="G51" i="1"/>
  <c r="G56" i="1"/>
  <c r="I54" i="1"/>
  <c r="I56" i="1" s="1"/>
  <c r="G58" i="1" l="1"/>
  <c r="I58" i="1"/>
</calcChain>
</file>

<file path=xl/sharedStrings.xml><?xml version="1.0" encoding="utf-8"?>
<sst xmlns="http://schemas.openxmlformats.org/spreadsheetml/2006/main" count="57" uniqueCount="36">
  <si>
    <t>RECORD  LITORAL E VALE - VERÃO SÃO SEBASTIÃO</t>
  </si>
  <si>
    <t>ENTREGA COMERCIAL  - TELEVISÃO</t>
  </si>
  <si>
    <t>TOTAL INS</t>
  </si>
  <si>
    <t>VALOR UNITÁRIO</t>
  </si>
  <si>
    <t>TOTAL TABELA</t>
  </si>
  <si>
    <t>NEGOCIAÇÃO</t>
  </si>
  <si>
    <t>TOTAL</t>
  </si>
  <si>
    <t xml:space="preserve">RECORD LITORAL E VALE </t>
  </si>
  <si>
    <t>Pé Na Areia</t>
  </si>
  <si>
    <t>ASSINATURA 5'' - CH EVENTO VERÃO</t>
  </si>
  <si>
    <t>FALA BRASIL</t>
  </si>
  <si>
    <t>HOJE EM DIA</t>
  </si>
  <si>
    <t>BALANÇO GERAL LITORAL</t>
  </si>
  <si>
    <t>BALANÇO GERAL VALE</t>
  </si>
  <si>
    <t>NOVELA DA TARDE 1</t>
  </si>
  <si>
    <t>CIDADE ALERTA</t>
  </si>
  <si>
    <t>SP RECORD</t>
  </si>
  <si>
    <t>JORNAL DA RECORD</t>
  </si>
  <si>
    <t>NOVELA 3</t>
  </si>
  <si>
    <t>NOVELA 22H</t>
  </si>
  <si>
    <t>SERIE PREMIUM</t>
  </si>
  <si>
    <t>BRASIL CAMINHONEIRO</t>
  </si>
  <si>
    <t>BALANÇO GERAL ED. SÁBADO</t>
  </si>
  <si>
    <t>CINE AVENTURA</t>
  </si>
  <si>
    <t>SUPER TELA</t>
  </si>
  <si>
    <t>VISITA NA RECORD - DOM</t>
  </si>
  <si>
    <t>ACERTE OU CAIA</t>
  </si>
  <si>
    <t>DOMINGO ESPETACULAR</t>
  </si>
  <si>
    <t xml:space="preserve">ESPORTE RECORD </t>
  </si>
  <si>
    <t>SERIE DE DOMINGO</t>
  </si>
  <si>
    <t xml:space="preserve">Total: </t>
  </si>
  <si>
    <t>ASSINATURA 5'' BOLETINS INFORMATIVOS - 45 SEGUNDOS</t>
  </si>
  <si>
    <t>MÍDIA DE APOIO</t>
  </si>
  <si>
    <t>ROTATIVO GERAL</t>
  </si>
  <si>
    <t>LOVE &amp; DANCE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</si>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</sst>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6"/>
      <color theme="1" tint="0.249977111117893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11"/>
      <color indexed="63"/>
      <name val="Calibri"/>
      <family val="2"/>
      <scheme val="minor"/>
    </font>
    <font>
      <sz val="11"/>
      <color indexed="63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 tint="0.249977111117893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</cellStyleXfs>
  <cellXfs count="33">
    <xf numFmtId="0" fontId="0" fillId="0" borderId="0" xfId="0"/>
    <xf numFmtId="0" fontId="8" fillId="4" borderId="5" xfId="4" applyFont="1" applyFill="1" applyBorder="1" applyAlignment="1">
      <alignment horizontal="left"/>
    </xf>
    <xf numFmtId="0" fontId="7" fillId="0" borderId="6" xfId="3" quotePrefix="1" applyFont="1" applyBorder="1" applyAlignment="1">
      <alignment horizontal="center" vertical="center"/>
    </xf>
    <xf numFmtId="164" fontId="7" fillId="0" borderId="6" xfId="3" applyNumberFormat="1" applyFont="1" applyBorder="1" applyAlignment="1">
      <alignment horizontal="center" vertical="center"/>
    </xf>
    <xf numFmtId="164" fontId="6" fillId="0" borderId="6" xfId="3" applyNumberFormat="1" applyFont="1" applyBorder="1" applyAlignment="1">
      <alignment horizontal="center" vertical="center"/>
    </xf>
    <xf numFmtId="9" fontId="6" fillId="0" borderId="6" xfId="3" applyNumberFormat="1" applyFont="1" applyBorder="1" applyAlignment="1">
      <alignment horizontal="center" vertical="center"/>
    </xf>
    <xf numFmtId="0" fontId="9" fillId="4" borderId="5" xfId="4" applyFont="1" applyFill="1" applyBorder="1" applyAlignment="1">
      <alignment horizontal="left"/>
    </xf>
    <xf numFmtId="0" fontId="6" fillId="0" borderId="6" xfId="3" quotePrefix="1" applyFont="1" applyBorder="1" applyAlignment="1">
      <alignment horizontal="center" vertical="center"/>
    </xf>
    <xf numFmtId="0" fontId="10" fillId="5" borderId="6" xfId="3" applyFont="1" applyFill="1" applyBorder="1" applyAlignment="1">
      <alignment horizontal="right" vertical="center"/>
    </xf>
    <xf numFmtId="0" fontId="11" fillId="4" borderId="6" xfId="3" applyFont="1" applyFill="1" applyBorder="1" applyAlignment="1">
      <alignment horizontal="center" vertical="center"/>
    </xf>
    <xf numFmtId="164" fontId="12" fillId="0" borderId="6" xfId="3" applyNumberFormat="1" applyFont="1" applyBorder="1" applyAlignment="1">
      <alignment horizontal="center" vertical="center"/>
    </xf>
    <xf numFmtId="164" fontId="13" fillId="4" borderId="6" xfId="3" applyNumberFormat="1" applyFont="1" applyFill="1" applyBorder="1" applyAlignment="1">
      <alignment horizontal="center" vertical="center"/>
    </xf>
    <xf numFmtId="9" fontId="13" fillId="4" borderId="6" xfId="3" applyNumberFormat="1" applyFont="1" applyFill="1" applyBorder="1" applyAlignment="1">
      <alignment horizontal="center" vertical="center"/>
    </xf>
    <xf numFmtId="0" fontId="10" fillId="0" borderId="4" xfId="3" applyFont="1" applyBorder="1" applyAlignment="1">
      <alignment horizontal="right" vertical="center"/>
    </xf>
    <xf numFmtId="0" fontId="11" fillId="4" borderId="4" xfId="3" applyFont="1" applyFill="1" applyBorder="1" applyAlignment="1">
      <alignment horizontal="center" vertical="center"/>
    </xf>
    <xf numFmtId="164" fontId="12" fillId="0" borderId="4" xfId="3" applyNumberFormat="1" applyFont="1" applyBorder="1" applyAlignment="1">
      <alignment horizontal="center" vertical="center"/>
    </xf>
    <xf numFmtId="164" fontId="13" fillId="4" borderId="4" xfId="3" applyNumberFormat="1" applyFont="1" applyFill="1" applyBorder="1" applyAlignment="1">
      <alignment horizontal="center" vertical="center"/>
    </xf>
    <xf numFmtId="9" fontId="13" fillId="4" borderId="4" xfId="3" applyNumberFormat="1" applyFont="1" applyFill="1" applyBorder="1" applyAlignment="1">
      <alignment horizontal="center" vertical="center"/>
    </xf>
    <xf numFmtId="9" fontId="6" fillId="0" borderId="6" xfId="2" quotePrefix="1" applyFont="1" applyBorder="1" applyAlignment="1">
      <alignment horizontal="center" vertical="center"/>
    </xf>
    <xf numFmtId="0" fontId="10" fillId="0" borderId="6" xfId="3" applyFont="1" applyBorder="1" applyAlignment="1">
      <alignment horizontal="right" vertical="center"/>
    </xf>
    <xf numFmtId="0" fontId="10" fillId="4" borderId="6" xfId="3" applyFont="1" applyFill="1" applyBorder="1" applyAlignment="1">
      <alignment horizontal="right" vertical="center"/>
    </xf>
    <xf numFmtId="164" fontId="12" fillId="4" borderId="6" xfId="3" applyNumberFormat="1" applyFont="1" applyFill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7" fillId="3" borderId="4" xfId="3" applyFont="1" applyFill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 wrapText="1"/>
    </xf>
    <xf numFmtId="17" fontId="4" fillId="2" borderId="2" xfId="3" applyNumberFormat="1" applyFont="1" applyFill="1" applyBorder="1" applyAlignment="1">
      <alignment horizontal="center" vertical="center" wrapText="1"/>
    </xf>
    <xf numFmtId="17" fontId="4" fillId="2" borderId="3" xfId="3" applyNumberFormat="1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/>
    </xf>
    <xf numFmtId="44" fontId="4" fillId="2" borderId="0" xfId="1" applyFont="1" applyFill="1" applyBorder="1" applyAlignment="1">
      <alignment horizontal="center" vertical="center" wrapText="1"/>
    </xf>
    <xf numFmtId="9" fontId="4" fillId="2" borderId="0" xfId="1" applyNumberFormat="1" applyFont="1" applyFill="1" applyBorder="1" applyAlignment="1">
      <alignment horizontal="center" vertical="center"/>
    </xf>
    <xf numFmtId="44" fontId="4" fillId="2" borderId="0" xfId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</cellXfs>
  <cellStyles count="5">
    <cellStyle name="Moeda" xfId="1" builtinId="4"/>
    <cellStyle name="Normal" xfId="0" builtinId="0"/>
    <cellStyle name="Normal 2 2" xfId="4" xr:uid="{00000000-0005-0000-0000-000002000000}"/>
    <cellStyle name="Normal_Proposta Vick" xfId="3" xr:uid="{00000000-0005-0000-0000-000003000000}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4:I60"/>
  <sheetViews>
    <sheetView tabSelected="1" workbookViewId="0"/>
  </sheetViews>
  <sheetFormatPr defaultRowHeight="15" x14ac:dyDescent="0.25"/>
  <cols>
    <col min="4" max="4" width="53.7109375" bestFit="1" customWidth="1"/>
    <col min="5" max="9" width="20.7109375" customWidth="1"/>
  </cols>
  <sheetData>
    <row r="4" spans="4:9" ht="33.75" x14ac:dyDescent="0.25">
      <c r="D4" s="22" t="s">
        <v>0</v>
      </c>
      <c r="E4" s="22"/>
      <c r="F4" s="22"/>
      <c r="G4" s="22"/>
      <c r="H4" s="22"/>
      <c r="I4" s="22"/>
    </row>
    <row r="5" spans="4:9" x14ac:dyDescent="0.25">
      <c r="D5" s="25" t="s">
        <v>1</v>
      </c>
      <c r="E5" s="26" t="s">
        <v>2</v>
      </c>
      <c r="F5" s="28" t="s">
        <v>3</v>
      </c>
      <c r="G5" s="29" t="s">
        <v>4</v>
      </c>
      <c r="H5" s="30" t="s">
        <v>5</v>
      </c>
      <c r="I5" s="31" t="s">
        <v>6</v>
      </c>
    </row>
    <row r="6" spans="4:9" x14ac:dyDescent="0.25">
      <c r="D6" s="25"/>
      <c r="E6" s="27"/>
      <c r="F6" s="28"/>
      <c r="G6" s="29"/>
      <c r="H6" s="30"/>
      <c r="I6" s="31"/>
    </row>
    <row r="7" spans="4:9" ht="15.75" x14ac:dyDescent="0.25">
      <c r="D7" s="24" t="s">
        <v>7</v>
      </c>
      <c r="E7" s="24"/>
      <c r="F7" s="24"/>
      <c r="G7" s="24"/>
      <c r="H7" s="24"/>
      <c r="I7" s="24"/>
    </row>
    <row r="8" spans="4:9" x14ac:dyDescent="0.25">
      <c r="D8" s="23" t="s">
        <v>8</v>
      </c>
      <c r="E8" s="23"/>
      <c r="F8" s="23"/>
      <c r="G8" s="23"/>
      <c r="H8" s="23"/>
      <c r="I8" s="23"/>
    </row>
    <row r="9" spans="4:9" x14ac:dyDescent="0.25">
      <c r="D9" s="1" t="s">
        <v>9</v>
      </c>
      <c r="E9" s="2"/>
      <c r="F9" s="3"/>
      <c r="G9" s="4"/>
      <c r="H9" s="5"/>
      <c r="I9" s="4"/>
    </row>
    <row r="10" spans="4:9" x14ac:dyDescent="0.25">
      <c r="D10" s="6" t="s">
        <v>10</v>
      </c>
      <c r="E10" s="7">
        <v>5</v>
      </c>
      <c r="F10" s="3">
        <f>3642*0.375</f>
        <v>1365.75</v>
      </c>
      <c r="G10" s="4">
        <f t="shared" ref="G10:G11" si="0">SUM(F10*E10)</f>
        <v>6828.75</v>
      </c>
      <c r="H10" s="5"/>
      <c r="I10" s="4">
        <f t="shared" ref="I10:I30" si="1">G10-(G10*H10)</f>
        <v>6828.75</v>
      </c>
    </row>
    <row r="11" spans="4:9" x14ac:dyDescent="0.25">
      <c r="D11" s="6" t="s">
        <v>11</v>
      </c>
      <c r="E11" s="7">
        <v>8</v>
      </c>
      <c r="F11" s="3">
        <f>3392*0.375</f>
        <v>1272</v>
      </c>
      <c r="G11" s="4">
        <f t="shared" si="0"/>
        <v>10176</v>
      </c>
      <c r="H11" s="5"/>
      <c r="I11" s="4">
        <f t="shared" si="1"/>
        <v>10176</v>
      </c>
    </row>
    <row r="12" spans="4:9" x14ac:dyDescent="0.25">
      <c r="D12" s="6" t="s">
        <v>12</v>
      </c>
      <c r="E12" s="7">
        <v>3</v>
      </c>
      <c r="F12" s="3">
        <f>3737*0.375</f>
        <v>1401.375</v>
      </c>
      <c r="G12" s="4">
        <f t="shared" ref="G12:G26" si="2">SUM(F12*E12)</f>
        <v>4204.125</v>
      </c>
      <c r="H12" s="5"/>
      <c r="I12" s="4">
        <f t="shared" si="1"/>
        <v>4204.125</v>
      </c>
    </row>
    <row r="13" spans="4:9" x14ac:dyDescent="0.25">
      <c r="D13" s="6" t="s">
        <v>13</v>
      </c>
      <c r="E13" s="7">
        <v>4</v>
      </c>
      <c r="F13" s="3">
        <f>3737*0.375</f>
        <v>1401.375</v>
      </c>
      <c r="G13" s="4">
        <f t="shared" si="2"/>
        <v>5605.5</v>
      </c>
      <c r="H13" s="5"/>
      <c r="I13" s="4">
        <f t="shared" si="1"/>
        <v>5605.5</v>
      </c>
    </row>
    <row r="14" spans="4:9" x14ac:dyDescent="0.25">
      <c r="D14" s="6" t="s">
        <v>14</v>
      </c>
      <c r="E14" s="7">
        <v>9</v>
      </c>
      <c r="F14" s="3">
        <f>4086*0.375</f>
        <v>1532.25</v>
      </c>
      <c r="G14" s="4">
        <f t="shared" si="2"/>
        <v>13790.25</v>
      </c>
      <c r="H14" s="5"/>
      <c r="I14" s="4">
        <f t="shared" si="1"/>
        <v>13790.25</v>
      </c>
    </row>
    <row r="15" spans="4:9" x14ac:dyDescent="0.25">
      <c r="D15" s="6" t="s">
        <v>15</v>
      </c>
      <c r="E15" s="7">
        <v>6</v>
      </c>
      <c r="F15" s="3">
        <f>3128*0.375</f>
        <v>1173</v>
      </c>
      <c r="G15" s="4">
        <f t="shared" si="2"/>
        <v>7038</v>
      </c>
      <c r="H15" s="5"/>
      <c r="I15" s="4">
        <f t="shared" si="1"/>
        <v>7038</v>
      </c>
    </row>
    <row r="16" spans="4:9" x14ac:dyDescent="0.25">
      <c r="D16" s="6" t="s">
        <v>16</v>
      </c>
      <c r="E16" s="7">
        <v>4</v>
      </c>
      <c r="F16" s="3">
        <f>7913*0.375</f>
        <v>2967.375</v>
      </c>
      <c r="G16" s="4">
        <f t="shared" si="2"/>
        <v>11869.5</v>
      </c>
      <c r="H16" s="5"/>
      <c r="I16" s="4">
        <f t="shared" si="1"/>
        <v>11869.5</v>
      </c>
    </row>
    <row r="17" spans="4:9" x14ac:dyDescent="0.25">
      <c r="D17" s="6" t="s">
        <v>17</v>
      </c>
      <c r="E17" s="7">
        <v>8</v>
      </c>
      <c r="F17" s="3">
        <f>13776*0.375</f>
        <v>5166</v>
      </c>
      <c r="G17" s="4">
        <f t="shared" si="2"/>
        <v>41328</v>
      </c>
      <c r="H17" s="5"/>
      <c r="I17" s="4">
        <f t="shared" si="1"/>
        <v>41328</v>
      </c>
    </row>
    <row r="18" spans="4:9" x14ac:dyDescent="0.25">
      <c r="D18" s="6" t="s">
        <v>18</v>
      </c>
      <c r="E18" s="7">
        <v>5</v>
      </c>
      <c r="F18" s="3">
        <f>12308*0.375</f>
        <v>4615.5</v>
      </c>
      <c r="G18" s="4">
        <f t="shared" si="2"/>
        <v>23077.5</v>
      </c>
      <c r="H18" s="5"/>
      <c r="I18" s="4">
        <f t="shared" si="1"/>
        <v>23077.5</v>
      </c>
    </row>
    <row r="19" spans="4:9" x14ac:dyDescent="0.25">
      <c r="D19" s="6" t="s">
        <v>19</v>
      </c>
      <c r="E19" s="7">
        <v>7</v>
      </c>
      <c r="F19" s="3">
        <f>10774*0.375</f>
        <v>4040.25</v>
      </c>
      <c r="G19" s="4">
        <f t="shared" si="2"/>
        <v>28281.75</v>
      </c>
      <c r="H19" s="5"/>
      <c r="I19" s="4">
        <f t="shared" si="1"/>
        <v>28281.75</v>
      </c>
    </row>
    <row r="20" spans="4:9" x14ac:dyDescent="0.25">
      <c r="D20" s="6" t="s">
        <v>20</v>
      </c>
      <c r="E20" s="7">
        <v>9</v>
      </c>
      <c r="F20" s="3">
        <f>5533*0.375</f>
        <v>2074.875</v>
      </c>
      <c r="G20" s="4">
        <f t="shared" si="2"/>
        <v>18673.875</v>
      </c>
      <c r="H20" s="5"/>
      <c r="I20" s="4">
        <f t="shared" si="1"/>
        <v>18673.875</v>
      </c>
    </row>
    <row r="21" spans="4:9" x14ac:dyDescent="0.25">
      <c r="D21" s="6" t="s">
        <v>21</v>
      </c>
      <c r="E21" s="7">
        <v>3</v>
      </c>
      <c r="F21" s="3">
        <f>3155*0.375</f>
        <v>1183.125</v>
      </c>
      <c r="G21" s="4">
        <f t="shared" si="2"/>
        <v>3549.375</v>
      </c>
      <c r="H21" s="5"/>
      <c r="I21" s="4">
        <f t="shared" si="1"/>
        <v>3549.375</v>
      </c>
    </row>
    <row r="22" spans="4:9" x14ac:dyDescent="0.25">
      <c r="D22" s="6" t="s">
        <v>22</v>
      </c>
      <c r="E22" s="7">
        <v>3</v>
      </c>
      <c r="F22" s="3">
        <f>3737.375</f>
        <v>3737.375</v>
      </c>
      <c r="G22" s="4">
        <f t="shared" si="2"/>
        <v>11212.125</v>
      </c>
      <c r="H22" s="5"/>
      <c r="I22" s="4">
        <f t="shared" si="1"/>
        <v>11212.125</v>
      </c>
    </row>
    <row r="23" spans="4:9" x14ac:dyDescent="0.25">
      <c r="D23" s="6" t="s">
        <v>23</v>
      </c>
      <c r="E23" s="7">
        <v>4</v>
      </c>
      <c r="F23" s="3">
        <f>3392*0.375</f>
        <v>1272</v>
      </c>
      <c r="G23" s="4">
        <f t="shared" si="2"/>
        <v>5088</v>
      </c>
      <c r="H23" s="5"/>
      <c r="I23" s="4">
        <f t="shared" si="1"/>
        <v>5088</v>
      </c>
    </row>
    <row r="24" spans="4:9" x14ac:dyDescent="0.25">
      <c r="D24" s="6" t="s">
        <v>24</v>
      </c>
      <c r="E24" s="7">
        <v>4</v>
      </c>
      <c r="F24" s="3">
        <f>7658*0.375</f>
        <v>2871.75</v>
      </c>
      <c r="G24" s="4">
        <f t="shared" si="2"/>
        <v>11487</v>
      </c>
      <c r="H24" s="5"/>
      <c r="I24" s="4">
        <f t="shared" si="1"/>
        <v>11487</v>
      </c>
    </row>
    <row r="25" spans="4:9" x14ac:dyDescent="0.25">
      <c r="D25" s="6" t="s">
        <v>25</v>
      </c>
      <c r="E25" s="7">
        <v>3</v>
      </c>
      <c r="F25" s="3">
        <f>3035*0.375</f>
        <v>1138.125</v>
      </c>
      <c r="G25" s="4">
        <f t="shared" si="2"/>
        <v>3414.375</v>
      </c>
      <c r="H25" s="5"/>
      <c r="I25" s="4">
        <f t="shared" si="1"/>
        <v>3414.375</v>
      </c>
    </row>
    <row r="26" spans="4:9" x14ac:dyDescent="0.25">
      <c r="D26" s="6" t="s">
        <v>34</v>
      </c>
      <c r="E26" s="7">
        <v>4</v>
      </c>
      <c r="F26" s="3">
        <f>8404*0.375</f>
        <v>3151.5</v>
      </c>
      <c r="G26" s="4">
        <f t="shared" si="2"/>
        <v>12606</v>
      </c>
      <c r="H26" s="5"/>
      <c r="I26" s="4">
        <f t="shared" si="1"/>
        <v>12606</v>
      </c>
    </row>
    <row r="27" spans="4:9" x14ac:dyDescent="0.25">
      <c r="D27" s="6" t="s">
        <v>26</v>
      </c>
      <c r="E27" s="7">
        <v>2</v>
      </c>
      <c r="F27" s="3">
        <f>8404*0.375</f>
        <v>3151.5</v>
      </c>
      <c r="G27" s="4">
        <f t="shared" ref="G27:G30" si="3">SUM(F27*E27)</f>
        <v>6303</v>
      </c>
      <c r="H27" s="5"/>
      <c r="I27" s="4">
        <f t="shared" si="1"/>
        <v>6303</v>
      </c>
    </row>
    <row r="28" spans="4:9" x14ac:dyDescent="0.25">
      <c r="D28" s="6" t="s">
        <v>27</v>
      </c>
      <c r="E28" s="7">
        <v>2</v>
      </c>
      <c r="F28" s="3">
        <f>11554*0.375</f>
        <v>4332.75</v>
      </c>
      <c r="G28" s="4">
        <f t="shared" si="3"/>
        <v>8665.5</v>
      </c>
      <c r="H28" s="5"/>
      <c r="I28" s="4">
        <f t="shared" si="1"/>
        <v>8665.5</v>
      </c>
    </row>
    <row r="29" spans="4:9" x14ac:dyDescent="0.25">
      <c r="D29" s="6" t="s">
        <v>28</v>
      </c>
      <c r="E29" s="7">
        <v>3</v>
      </c>
      <c r="F29" s="3">
        <f>7508*0.375</f>
        <v>2815.5</v>
      </c>
      <c r="G29" s="4">
        <f t="shared" si="3"/>
        <v>8446.5</v>
      </c>
      <c r="H29" s="5"/>
      <c r="I29" s="4">
        <f t="shared" si="1"/>
        <v>8446.5</v>
      </c>
    </row>
    <row r="30" spans="4:9" x14ac:dyDescent="0.25">
      <c r="D30" s="6" t="s">
        <v>29</v>
      </c>
      <c r="E30" s="7">
        <v>2</v>
      </c>
      <c r="F30" s="3">
        <f>5921*0.375</f>
        <v>2220.375</v>
      </c>
      <c r="G30" s="4">
        <f t="shared" si="3"/>
        <v>4440.75</v>
      </c>
      <c r="H30" s="5"/>
      <c r="I30" s="4">
        <f t="shared" si="1"/>
        <v>4440.75</v>
      </c>
    </row>
    <row r="31" spans="4:9" ht="18.75" x14ac:dyDescent="0.25">
      <c r="D31" s="8" t="s">
        <v>30</v>
      </c>
      <c r="E31" s="9">
        <f>SUM(E10:E30)</f>
        <v>98</v>
      </c>
      <c r="F31" s="10"/>
      <c r="G31" s="11">
        <f>SUM(G10:G30)</f>
        <v>246085.875</v>
      </c>
      <c r="H31" s="12"/>
      <c r="I31" s="11">
        <f>SUM(I10:I30)</f>
        <v>246085.875</v>
      </c>
    </row>
    <row r="32" spans="4:9" x14ac:dyDescent="0.25">
      <c r="D32" s="1" t="s">
        <v>31</v>
      </c>
      <c r="E32" s="2"/>
      <c r="F32" s="3"/>
      <c r="G32" s="4"/>
      <c r="H32" s="5"/>
      <c r="I32" s="4"/>
    </row>
    <row r="33" spans="4:9" x14ac:dyDescent="0.25">
      <c r="D33" s="6" t="s">
        <v>10</v>
      </c>
      <c r="E33" s="7">
        <v>6</v>
      </c>
      <c r="F33" s="3">
        <f>3642*1.5</f>
        <v>5463</v>
      </c>
      <c r="G33" s="4">
        <f t="shared" ref="G33:G34" si="4">SUM(F33*E33)</f>
        <v>32778</v>
      </c>
      <c r="H33" s="5"/>
      <c r="I33" s="4">
        <f t="shared" ref="I33:I49" si="5">G33-(G33*H33)</f>
        <v>32778</v>
      </c>
    </row>
    <row r="34" spans="4:9" x14ac:dyDescent="0.25">
      <c r="D34" s="6" t="s">
        <v>11</v>
      </c>
      <c r="E34" s="7">
        <v>12</v>
      </c>
      <c r="F34" s="3">
        <f>3392*1.5</f>
        <v>5088</v>
      </c>
      <c r="G34" s="4">
        <f t="shared" si="4"/>
        <v>61056</v>
      </c>
      <c r="H34" s="5"/>
      <c r="I34" s="4">
        <f t="shared" si="5"/>
        <v>61056</v>
      </c>
    </row>
    <row r="35" spans="4:9" x14ac:dyDescent="0.25">
      <c r="D35" s="6" t="s">
        <v>12</v>
      </c>
      <c r="E35" s="7">
        <v>6</v>
      </c>
      <c r="F35" s="3">
        <f>3737*1.65</f>
        <v>6166.0499999999993</v>
      </c>
      <c r="G35" s="4">
        <f t="shared" ref="G35:G48" si="6">SUM(F35*E35)</f>
        <v>36996.299999999996</v>
      </c>
      <c r="H35" s="5"/>
      <c r="I35" s="4">
        <f t="shared" si="5"/>
        <v>36996.299999999996</v>
      </c>
    </row>
    <row r="36" spans="4:9" x14ac:dyDescent="0.25">
      <c r="D36" s="6" t="s">
        <v>13</v>
      </c>
      <c r="E36" s="7">
        <v>7</v>
      </c>
      <c r="F36" s="3">
        <f>3737*1.65</f>
        <v>6166.0499999999993</v>
      </c>
      <c r="G36" s="4">
        <f t="shared" si="6"/>
        <v>43162.349999999991</v>
      </c>
      <c r="H36" s="5"/>
      <c r="I36" s="4">
        <f t="shared" si="5"/>
        <v>43162.349999999991</v>
      </c>
    </row>
    <row r="37" spans="4:9" x14ac:dyDescent="0.25">
      <c r="D37" s="6" t="s">
        <v>14</v>
      </c>
      <c r="E37" s="7">
        <v>12</v>
      </c>
      <c r="F37" s="3">
        <f>4086*1.5</f>
        <v>6129</v>
      </c>
      <c r="G37" s="4">
        <f t="shared" si="6"/>
        <v>73548</v>
      </c>
      <c r="H37" s="5"/>
      <c r="I37" s="4">
        <f t="shared" si="5"/>
        <v>73548</v>
      </c>
    </row>
    <row r="38" spans="4:9" x14ac:dyDescent="0.25">
      <c r="D38" s="6" t="s">
        <v>15</v>
      </c>
      <c r="E38" s="7">
        <v>12</v>
      </c>
      <c r="F38" s="3">
        <f>3128*1.65</f>
        <v>5161.2</v>
      </c>
      <c r="G38" s="4">
        <f t="shared" si="6"/>
        <v>61934.399999999994</v>
      </c>
      <c r="H38" s="5"/>
      <c r="I38" s="4">
        <f t="shared" si="5"/>
        <v>61934.399999999994</v>
      </c>
    </row>
    <row r="39" spans="4:9" x14ac:dyDescent="0.25">
      <c r="D39" s="6" t="s">
        <v>16</v>
      </c>
      <c r="E39" s="7">
        <v>11</v>
      </c>
      <c r="F39" s="3">
        <f>7913*1.65</f>
        <v>13056.449999999999</v>
      </c>
      <c r="G39" s="4">
        <f t="shared" si="6"/>
        <v>143620.94999999998</v>
      </c>
      <c r="H39" s="5"/>
      <c r="I39" s="4">
        <f t="shared" si="5"/>
        <v>143620.94999999998</v>
      </c>
    </row>
    <row r="40" spans="4:9" x14ac:dyDescent="0.25">
      <c r="D40" s="6" t="s">
        <v>17</v>
      </c>
      <c r="E40" s="7">
        <v>7</v>
      </c>
      <c r="F40" s="3">
        <f>13776*1.65</f>
        <v>22730.399999999998</v>
      </c>
      <c r="G40" s="4">
        <f t="shared" si="6"/>
        <v>159112.79999999999</v>
      </c>
      <c r="H40" s="5"/>
      <c r="I40" s="4">
        <f t="shared" si="5"/>
        <v>159112.79999999999</v>
      </c>
    </row>
    <row r="41" spans="4:9" x14ac:dyDescent="0.25">
      <c r="D41" s="6" t="s">
        <v>18</v>
      </c>
      <c r="E41" s="7">
        <v>9</v>
      </c>
      <c r="F41" s="3">
        <f>12308*1.65</f>
        <v>20308.199999999997</v>
      </c>
      <c r="G41" s="4">
        <f t="shared" si="6"/>
        <v>182773.8</v>
      </c>
      <c r="H41" s="5"/>
      <c r="I41" s="4">
        <f t="shared" si="5"/>
        <v>182773.8</v>
      </c>
    </row>
    <row r="42" spans="4:9" x14ac:dyDescent="0.25">
      <c r="D42" s="6" t="s">
        <v>19</v>
      </c>
      <c r="E42" s="7">
        <v>4</v>
      </c>
      <c r="F42" s="3">
        <f>10774*1.5</f>
        <v>16161</v>
      </c>
      <c r="G42" s="4">
        <f t="shared" si="6"/>
        <v>64644</v>
      </c>
      <c r="H42" s="5"/>
      <c r="I42" s="4">
        <f t="shared" si="5"/>
        <v>64644</v>
      </c>
    </row>
    <row r="43" spans="4:9" x14ac:dyDescent="0.25">
      <c r="D43" s="6" t="s">
        <v>20</v>
      </c>
      <c r="E43" s="7">
        <v>6</v>
      </c>
      <c r="F43" s="3">
        <f>5533*1.65</f>
        <v>9129.4499999999989</v>
      </c>
      <c r="G43" s="4">
        <f t="shared" si="6"/>
        <v>54776.7</v>
      </c>
      <c r="H43" s="5"/>
      <c r="I43" s="4">
        <f t="shared" si="5"/>
        <v>54776.7</v>
      </c>
    </row>
    <row r="44" spans="4:9" x14ac:dyDescent="0.25">
      <c r="D44" s="6" t="s">
        <v>22</v>
      </c>
      <c r="E44" s="7">
        <v>2</v>
      </c>
      <c r="F44" s="3">
        <f>3737*1.65</f>
        <v>6166.0499999999993</v>
      </c>
      <c r="G44" s="4">
        <f t="shared" si="6"/>
        <v>12332.099999999999</v>
      </c>
      <c r="H44" s="5"/>
      <c r="I44" s="4">
        <f t="shared" si="5"/>
        <v>12332.099999999999</v>
      </c>
    </row>
    <row r="45" spans="4:9" x14ac:dyDescent="0.25">
      <c r="D45" s="6" t="s">
        <v>23</v>
      </c>
      <c r="E45" s="7">
        <v>3</v>
      </c>
      <c r="F45" s="3">
        <f>3392*1.65</f>
        <v>5596.7999999999993</v>
      </c>
      <c r="G45" s="4">
        <f t="shared" si="6"/>
        <v>16790.399999999998</v>
      </c>
      <c r="H45" s="5"/>
      <c r="I45" s="4">
        <f t="shared" si="5"/>
        <v>16790.399999999998</v>
      </c>
    </row>
    <row r="46" spans="4:9" x14ac:dyDescent="0.25">
      <c r="D46" s="6" t="s">
        <v>24</v>
      </c>
      <c r="E46" s="7">
        <v>2</v>
      </c>
      <c r="F46" s="3">
        <f>7658*1.65</f>
        <v>12635.699999999999</v>
      </c>
      <c r="G46" s="4">
        <f t="shared" si="6"/>
        <v>25271.399999999998</v>
      </c>
      <c r="H46" s="5"/>
      <c r="I46" s="4">
        <f t="shared" si="5"/>
        <v>25271.399999999998</v>
      </c>
    </row>
    <row r="47" spans="4:9" x14ac:dyDescent="0.25">
      <c r="D47" s="6" t="s">
        <v>25</v>
      </c>
      <c r="E47" s="7">
        <v>3</v>
      </c>
      <c r="F47" s="3">
        <f>3035*1.65</f>
        <v>5007.75</v>
      </c>
      <c r="G47" s="4">
        <f t="shared" si="6"/>
        <v>15023.25</v>
      </c>
      <c r="H47" s="5"/>
      <c r="I47" s="4">
        <f t="shared" si="5"/>
        <v>15023.25</v>
      </c>
    </row>
    <row r="48" spans="4:9" x14ac:dyDescent="0.25">
      <c r="D48" s="6" t="s">
        <v>34</v>
      </c>
      <c r="E48" s="7">
        <v>3</v>
      </c>
      <c r="F48" s="3">
        <f>8404*1.65</f>
        <v>13866.599999999999</v>
      </c>
      <c r="G48" s="4">
        <f t="shared" si="6"/>
        <v>41599.799999999996</v>
      </c>
      <c r="H48" s="5"/>
      <c r="I48" s="4">
        <f t="shared" si="5"/>
        <v>41599.799999999996</v>
      </c>
    </row>
    <row r="49" spans="4:9" x14ac:dyDescent="0.25">
      <c r="D49" s="6" t="s">
        <v>26</v>
      </c>
      <c r="E49" s="7">
        <v>4</v>
      </c>
      <c r="F49" s="3">
        <f>8404*1.65</f>
        <v>13866.599999999999</v>
      </c>
      <c r="G49" s="4">
        <f t="shared" ref="G49:G50" si="7">SUM(F49*E49)</f>
        <v>55466.399999999994</v>
      </c>
      <c r="H49" s="5"/>
      <c r="I49" s="4">
        <f t="shared" si="5"/>
        <v>55466.399999999994</v>
      </c>
    </row>
    <row r="50" spans="4:9" x14ac:dyDescent="0.25">
      <c r="D50" s="6" t="s">
        <v>29</v>
      </c>
      <c r="E50" s="7">
        <v>1</v>
      </c>
      <c r="F50" s="3">
        <f>5921*1.65</f>
        <v>9769.65</v>
      </c>
      <c r="G50" s="4">
        <f t="shared" si="7"/>
        <v>9769.65</v>
      </c>
      <c r="H50" s="5"/>
      <c r="I50" s="4">
        <f>G50-(G50*H50)</f>
        <v>9769.65</v>
      </c>
    </row>
    <row r="51" spans="4:9" ht="18.75" x14ac:dyDescent="0.25">
      <c r="D51" s="8" t="s">
        <v>30</v>
      </c>
      <c r="E51" s="9">
        <f>SUM(E33:E50)</f>
        <v>110</v>
      </c>
      <c r="F51" s="10"/>
      <c r="G51" s="11">
        <f>SUM(G33:G50)</f>
        <v>1090656.2999999998</v>
      </c>
      <c r="H51" s="12"/>
      <c r="I51" s="11">
        <f>SUM(I33:I50)</f>
        <v>1090656.2999999998</v>
      </c>
    </row>
    <row r="52" spans="4:9" ht="18.75" x14ac:dyDescent="0.25">
      <c r="D52" s="13"/>
      <c r="E52" s="14"/>
      <c r="F52" s="15"/>
      <c r="G52" s="16"/>
      <c r="H52" s="17"/>
      <c r="I52" s="16"/>
    </row>
    <row r="53" spans="4:9" x14ac:dyDescent="0.25">
      <c r="D53" s="23" t="s">
        <v>32</v>
      </c>
      <c r="E53" s="23"/>
      <c r="F53" s="23"/>
      <c r="G53" s="23"/>
      <c r="H53" s="23"/>
      <c r="I53" s="23"/>
    </row>
    <row r="54" spans="4:9" x14ac:dyDescent="0.25">
      <c r="D54" s="6" t="s">
        <v>33</v>
      </c>
      <c r="E54" s="7">
        <v>60</v>
      </c>
      <c r="F54" s="7">
        <f>8338.72</f>
        <v>8338.7199999999993</v>
      </c>
      <c r="G54" s="4">
        <f>SUM(F54*E54)</f>
        <v>500323.19999999995</v>
      </c>
      <c r="H54" s="18"/>
      <c r="I54" s="4">
        <f>G54-(G54*H54)</f>
        <v>500323.19999999995</v>
      </c>
    </row>
    <row r="55" spans="4:9" ht="18.75" x14ac:dyDescent="0.25">
      <c r="D55" s="19"/>
      <c r="E55" s="9"/>
      <c r="F55" s="10"/>
      <c r="G55" s="11"/>
      <c r="H55" s="12"/>
      <c r="I55" s="11"/>
    </row>
    <row r="56" spans="4:9" ht="18.75" x14ac:dyDescent="0.25">
      <c r="D56" s="8" t="s">
        <v>30</v>
      </c>
      <c r="E56" s="9">
        <f>SUM(E54)</f>
        <v>60</v>
      </c>
      <c r="F56" s="10"/>
      <c r="G56" s="11">
        <f>SUM(G54)</f>
        <v>500323.19999999995</v>
      </c>
      <c r="H56" s="12"/>
      <c r="I56" s="11">
        <f>SUM(I54)</f>
        <v>500323.19999999995</v>
      </c>
    </row>
    <row r="57" spans="4:9" ht="18.75" x14ac:dyDescent="0.25">
      <c r="D57" s="20"/>
      <c r="E57" s="9"/>
      <c r="F57" s="21"/>
      <c r="G57" s="11"/>
      <c r="H57" s="12"/>
      <c r="I57" s="11"/>
    </row>
    <row r="58" spans="4:9" ht="18.75" x14ac:dyDescent="0.25">
      <c r="D58" s="8" t="s">
        <v>30</v>
      </c>
      <c r="E58" s="9">
        <f>SUM(E31,E51,E56)</f>
        <v>268</v>
      </c>
      <c r="F58" s="10"/>
      <c r="G58" s="11">
        <f>SUM(G31,G51,G56)</f>
        <v>1837065.3749999998</v>
      </c>
      <c r="H58" s="12"/>
      <c r="I58" s="11">
        <f>SUM(I31,I51,I56)</f>
        <v>1837065.3749999998</v>
      </c>
    </row>
    <row r="60" spans="4:9" x14ac:dyDescent="0.25">
      <c r="D60" s="32" t="s">
        <v>35</v>
      </c>
    </row>
  </sheetData>
  <mergeCells count="10">
    <mergeCell ref="D4:I4"/>
    <mergeCell ref="D8:I8"/>
    <mergeCell ref="D53:I53"/>
    <mergeCell ref="D7:I7"/>
    <mergeCell ref="D5:D6"/>
    <mergeCell ref="E5:E6"/>
    <mergeCell ref="F5:F6"/>
    <mergeCell ref="G5:G6"/>
    <mergeCell ref="H5:H6"/>
    <mergeCell ref="I5:I6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37d0782-8434-46a2-80c7-0afa05c22e02" xsi:nil="true"/>
    <lcf76f155ced4ddcb4097134ff3c332f xmlns="4d5be189-291e-4c87-8bd7-fc000858ff2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E02FD698A49C4AA983D4D1FB123EE2" ma:contentTypeVersion="16" ma:contentTypeDescription="Crie um novo documento." ma:contentTypeScope="" ma:versionID="2de5f9c50c7f740c256046463d0f91a4">
  <xsd:schema xmlns:xsd="http://www.w3.org/2001/XMLSchema" xmlns:xs="http://www.w3.org/2001/XMLSchema" xmlns:p="http://schemas.microsoft.com/office/2006/metadata/properties" xmlns:ns2="4d5be189-291e-4c87-8bd7-fc000858ff29" xmlns:ns3="a37d0782-8434-46a2-80c7-0afa05c22e02" targetNamespace="http://schemas.microsoft.com/office/2006/metadata/properties" ma:root="true" ma:fieldsID="e6cb50247ec142523bbce2a02c38877d" ns2:_="" ns3:_="">
    <xsd:import namespace="4d5be189-291e-4c87-8bd7-fc000858ff29"/>
    <xsd:import namespace="a37d0782-8434-46a2-80c7-0afa05c22e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5be189-291e-4c87-8bd7-fc000858f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1ced423f-1a86-43f5-8e8d-3904b46246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7d0782-8434-46a2-80c7-0afa05c22e0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c4a76c4-5124-489b-bb10-cf8499662f6b}" ma:internalName="TaxCatchAll" ma:showField="CatchAllData" ma:web="a37d0782-8434-46a2-80c7-0afa05c22e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873729-B6F1-4721-9516-684417D2E8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EFB6B7-259F-43A9-87A0-5D2AA2116F16}">
  <ds:schemaRefs>
    <ds:schemaRef ds:uri="http://schemas.microsoft.com/office/2006/metadata/properties"/>
    <ds:schemaRef ds:uri="http://purl.org/dc/terms/"/>
    <ds:schemaRef ds:uri="4d5be189-291e-4c87-8bd7-fc000858ff29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a37d0782-8434-46a2-80c7-0afa05c22e02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6978AD7-86A3-47A5-B269-01ACB5969A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5be189-291e-4c87-8bd7-fc000858ff29"/>
    <ds:schemaRef ds:uri="a37d0782-8434-46a2-80c7-0afa05c22e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Luque Bastos Berthaud</dc:creator>
  <cp:lastModifiedBy>Joyce Luque Bastos Berthaud</cp:lastModifiedBy>
  <dcterms:created xsi:type="dcterms:W3CDTF">2025-10-30T21:00:02Z</dcterms:created>
  <dcterms:modified xsi:type="dcterms:W3CDTF">2025-10-31T14:53:23Z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0x01010002E02FD698A49C4AA983D4D1FB123EE2</vt:lpwstr>
  </property>
  <property fmtid="{D5CDD505-2E9C-101B-9397-08002B2CF9AE}" pid="3" name="MediaServiceImageTags">
    <vt:lpwstr/>
  </property>
</Properties>
</file>